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Pricing &amp; opening" sheetId="2" r:id="rId2"/>
    <sheet name="Effective interest" sheetId="3" r:id="rId3"/>
  </sheets>
  <definedNames>
    <definedName name="_xlnm.Print_Area" localSheetId="2">'Effective interest'!$A$1:$F$20</definedName>
    <definedName name="_xlnm.Print_Area" localSheetId="1">'Pricing &amp; opening'!$A$1:$D$27</definedName>
    <definedName name="_xlnm.Print_Area" localSheetId="0">'Read me'!$A$1:$B$17</definedName>
    <definedName name="_xlnm.Print_Titles" localSheetId="2">'Effective interest'!$1:$3</definedName>
    <definedName name="_xlnm.Print_Titles" localSheetId="1">'Pricing &amp; opening'!$1:$3</definedName>
  </definedNames>
  <calcPr calcId="124519" fullCalcOnLoad="1"/>
</workbook>
</file>

<file path=xl/sharedStrings.xml><?xml version="1.0" encoding="utf-8"?>
<sst xmlns="http://schemas.openxmlformats.org/spreadsheetml/2006/main" count="65" uniqueCount="64">
  <si>
    <t>Bond issue and effective-interest close</t>
  </si>
  <si>
    <t>START HERE  ·  Contract → price → net basis → yield → schedule → release</t>
  </si>
  <si>
    <t>Purpose</t>
  </si>
  <si>
    <t>Trace the supplied bond terms through formula-visible pricing, opening net carrying amount, cost-adjusted yield, and every amortization row.</t>
  </si>
  <si>
    <t>Input discipline</t>
  </si>
  <si>
    <t>Yellow cells contain supplied facts. The market yield and cost-scope conclusion must come from approved evidence, not this workbook.</t>
  </si>
  <si>
    <t>Precision</t>
  </si>
  <si>
    <t>Excel retains full precision behind cents display. No final-period plug or overwritten balance is permitted.</t>
  </si>
  <si>
    <t>Boundary</t>
  </si>
  <si>
    <t>PASS proves arithmetic only; it does not interpret the indenture, qualify a fee, choose a yield, classify debt, value debt, or approve disclosure.</t>
  </si>
  <si>
    <t>Source record</t>
  </si>
  <si>
    <t>EX:debt-issuance-effective-interest-and-extinguishment/cedar-trail-bond-issue-and-interest</t>
  </si>
  <si>
    <t>Workbook path</t>
  </si>
  <si>
    <t>1 · Inspect cash-flow pricing and net basis →</t>
  </si>
  <si>
    <t>2 · Audit every row and release check →</t>
  </si>
  <si>
    <t>Contract cash flows, market price, and opening net basis</t>
  </si>
  <si>
    <t>Face ≠ price ≠ net carrying amount  ·  Stated rate ≠ effective yield</t>
  </si>
  <si>
    <t>Supplied contract input</t>
  </si>
  <si>
    <t>Value</t>
  </si>
  <si>
    <t>Role</t>
  </si>
  <si>
    <t>Owner</t>
  </si>
  <si>
    <t>Face amount</t>
  </si>
  <si>
    <t>Principal and coupon base</t>
  </si>
  <si>
    <t>Indenture</t>
  </si>
  <si>
    <t>Stated annual rate</t>
  </si>
  <si>
    <t>Contract coupon</t>
  </si>
  <si>
    <t>Payments per year</t>
  </si>
  <si>
    <t>Rate and date conversion</t>
  </si>
  <si>
    <t>Trustee calendar</t>
  </si>
  <si>
    <t>Market annual yield</t>
  </si>
  <si>
    <t>Cash-flow pricing</t>
  </si>
  <si>
    <t>Approved market evidence</t>
  </si>
  <si>
    <t>Total coupon periods</t>
  </si>
  <si>
    <t>Discount horizon</t>
  </si>
  <si>
    <t>Indenture + calendar</t>
  </si>
  <si>
    <t>Qualifying issuance costs</t>
  </si>
  <si>
    <t>Net liability basis</t>
  </si>
  <si>
    <t>Accounting scope memo</t>
  </si>
  <si>
    <t>Cash coupon each period</t>
  </si>
  <si>
    <t>Face × annual stated rate ÷ payments per year</t>
  </si>
  <si>
    <t>Market periodic yield</t>
  </si>
  <si>
    <t>Present-value price and basis bridge</t>
  </si>
  <si>
    <t>Coupon present value</t>
  </si>
  <si>
    <t>Principal present value</t>
  </si>
  <si>
    <t>Issue price before costs</t>
  </si>
  <si>
    <t>Opening net carrying amount</t>
  </si>
  <si>
    <t>Gross discount</t>
  </si>
  <si>
    <t>Solved effective periodic yield</t>
  </si>
  <si>
    <t>Price identity</t>
  </si>
  <si>
    <t>Opening basis bridge</t>
  </si>
  <si>
    <t>Yield exceeds price yield after costs</t>
  </si>
  <si>
    <t>Cost-adjusted effective-interest schedule</t>
  </si>
  <si>
    <t>Every row uses opening carrying amount × one solved yield</t>
  </si>
  <si>
    <t>Period</t>
  </si>
  <si>
    <t>Opening carrying</t>
  </si>
  <si>
    <t>Cash interest</t>
  </si>
  <si>
    <t>Interest expense</t>
  </si>
  <si>
    <t>Carrying increase</t>
  </si>
  <si>
    <t>Ending carrying</t>
  </si>
  <si>
    <t>Totals</t>
  </si>
  <si>
    <t>Maturity tie</t>
  </si>
  <si>
    <t>Interest/cash/basis tie</t>
  </si>
  <si>
    <t>No final-period override</t>
  </si>
  <si>
    <t>Display rounding does not feed the next row. Release still requires approved contract, yield, cost-scope, classification, and disclosure evidence.</t>
  </si>
</sst>
</file>

<file path=xl/styles.xml><?xml version="1.0" encoding="utf-8"?>
<styleSheet xmlns="http://schemas.openxmlformats.org/spreadsheetml/2006/main">
  <numFmts count="3">
    <numFmt numFmtId="164" formatCode="$#,##0.00;[Red]($#,##0.00);&quot;—&quot;"/>
    <numFmt numFmtId="165" formatCode="0.0%;[Red](0.0%);&quot;—&quot;"/>
    <numFmt numFmtId="166" formatCode="0;[Red](0);&quot;—&quot;"/>
  </numFmts>
  <fonts count="9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FFFFFF"/>
      <name val="Aptos"/>
      <family val="2"/>
    </font>
    <font>
      <b/>
      <sz val="9"/>
      <color rgb="FF254B47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F3F1"/>
        <bgColor indexed="64"/>
      </patternFill>
    </fill>
    <fill>
      <patternFill patternType="solid">
        <fgColor rgb="FF315F59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DDEBE5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5" fontId="4" fillId="7" borderId="5" xfId="0" applyNumberFormat="1" applyFont="1" applyFill="1" applyBorder="1" applyAlignment="1" applyProtection="1">
      <alignment horizontal="right"/>
      <protection locked="0"/>
    </xf>
    <xf numFmtId="164" fontId="4" fillId="8" borderId="2" xfId="0" applyNumberFormat="1" applyFont="1" applyFill="1" applyBorder="1" applyAlignment="1">
      <alignment horizontal="right"/>
    </xf>
    <xf numFmtId="166" fontId="4" fillId="7" borderId="5" xfId="0" applyNumberFormat="1" applyFont="1" applyFill="1" applyBorder="1" applyAlignment="1" applyProtection="1">
      <alignment horizontal="right"/>
      <protection locked="0"/>
    </xf>
    <xf numFmtId="165" fontId="4" fillId="8" borderId="2" xfId="0" applyNumberFormat="1" applyFont="1" applyFill="1" applyBorder="1" applyAlignment="1">
      <alignment horizontal="right"/>
    </xf>
    <xf numFmtId="0" fontId="7" fillId="9" borderId="0" xfId="0" applyFont="1" applyFill="1" applyAlignment="1">
      <alignment horizontal="left" vertical="center"/>
    </xf>
    <xf numFmtId="0" fontId="4" fillId="0" borderId="2" xfId="0" applyFont="1" applyBorder="1" applyAlignment="1">
      <alignment vertical="center"/>
    </xf>
    <xf numFmtId="164" fontId="3" fillId="10" borderId="6" xfId="0" applyNumberFormat="1" applyFont="1" applyFill="1" applyBorder="1" applyAlignment="1">
      <alignment horizontal="right"/>
    </xf>
    <xf numFmtId="0" fontId="8" fillId="11" borderId="7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5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2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8" customHeight="1">
      <c r="A4" s="3" t="s">
        <v>2</v>
      </c>
      <c r="B4" s="4" t="s">
        <v>3</v>
      </c>
    </row>
    <row r="5" spans="1:2" ht="34" customHeight="1">
      <c r="A5" s="3" t="s">
        <v>4</v>
      </c>
      <c r="B5" s="4" t="s">
        <v>5</v>
      </c>
    </row>
    <row r="6" spans="1:2" ht="34" customHeight="1">
      <c r="A6" s="3" t="s">
        <v>6</v>
      </c>
      <c r="B6" s="4" t="s">
        <v>7</v>
      </c>
    </row>
    <row r="7" spans="1:2" ht="48" customHeight="1">
      <c r="A7" s="3" t="s">
        <v>8</v>
      </c>
      <c r="B7" s="4" t="s">
        <v>9</v>
      </c>
    </row>
    <row r="8" spans="1:2" ht="34" customHeight="1">
      <c r="A8" s="3" t="s">
        <v>10</v>
      </c>
      <c r="B8" s="4" t="s">
        <v>11</v>
      </c>
    </row>
    <row r="14" spans="1:2">
      <c r="A14" s="3" t="s">
        <v>12</v>
      </c>
      <c r="B14" s="5" t="s">
        <v>13</v>
      </c>
    </row>
    <row r="15" spans="1:2">
      <c r="B15" s="5" t="s">
        <v>14</v>
      </c>
    </row>
  </sheetData>
  <mergeCells count="2">
    <mergeCell ref="A1:B1"/>
    <mergeCell ref="A2:B2"/>
  </mergeCells>
  <hyperlinks>
    <hyperlink ref="B14" location="'Pricing &amp; opening'!A1" display="1 · Inspect cash-flow pricing and net basis →"/>
    <hyperlink ref="B15" location="'Effective interest'!A1" display="2 · Audit every row and release check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4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38.7109375" customWidth="1"/>
    <col min="2" max="2" width="22.7109375" customWidth="1"/>
    <col min="3" max="4" width="42.7109375" customWidth="1"/>
  </cols>
  <sheetData>
    <row r="1" spans="1:4" ht="30" customHeight="1">
      <c r="A1" s="1" t="s">
        <v>15</v>
      </c>
      <c r="B1" s="1"/>
      <c r="C1" s="1"/>
      <c r="D1" s="1"/>
    </row>
    <row r="2" spans="1:4" ht="21" customHeight="1">
      <c r="A2" s="2" t="s">
        <v>16</v>
      </c>
      <c r="B2" s="2"/>
      <c r="C2" s="2"/>
      <c r="D2" s="2"/>
    </row>
    <row r="3" spans="1:4">
      <c r="A3" s="6" t="s">
        <v>17</v>
      </c>
      <c r="B3" s="6" t="s">
        <v>18</v>
      </c>
      <c r="C3" s="6" t="s">
        <v>19</v>
      </c>
      <c r="D3" s="6" t="s">
        <v>20</v>
      </c>
    </row>
    <row r="4" spans="1:4">
      <c r="A4" s="7" t="s">
        <v>21</v>
      </c>
      <c r="B4" s="8">
        <v>2000000</v>
      </c>
      <c r="C4" s="9" t="s">
        <v>22</v>
      </c>
      <c r="D4" s="9" t="s">
        <v>23</v>
      </c>
    </row>
    <row r="5" spans="1:4">
      <c r="A5" s="7" t="s">
        <v>24</v>
      </c>
      <c r="B5" s="10">
        <v>0.06</v>
      </c>
      <c r="C5" s="9" t="s">
        <v>25</v>
      </c>
      <c r="D5" s="9" t="s">
        <v>23</v>
      </c>
    </row>
    <row r="6" spans="1:4">
      <c r="A6" s="7" t="s">
        <v>38</v>
      </c>
      <c r="B6" s="11">
        <f>B4*B5/B7</f>
        <v>60000.0</v>
      </c>
      <c r="C6" s="9" t="s">
        <v>39</v>
      </c>
    </row>
    <row r="7" spans="1:4">
      <c r="A7" s="7" t="s">
        <v>26</v>
      </c>
      <c r="B7" s="12">
        <v>2</v>
      </c>
      <c r="C7" s="9" t="s">
        <v>27</v>
      </c>
      <c r="D7" s="9" t="s">
        <v>28</v>
      </c>
    </row>
    <row r="8" spans="1:4">
      <c r="A8" s="7" t="s">
        <v>29</v>
      </c>
      <c r="B8" s="8">
        <v>0.08</v>
      </c>
      <c r="C8" s="9" t="s">
        <v>30</v>
      </c>
      <c r="D8" s="9" t="s">
        <v>31</v>
      </c>
    </row>
    <row r="9" spans="1:4">
      <c r="A9" s="7" t="s">
        <v>32</v>
      </c>
      <c r="B9" s="12">
        <v>8</v>
      </c>
      <c r="C9" s="9" t="s">
        <v>33</v>
      </c>
      <c r="D9" s="9" t="s">
        <v>34</v>
      </c>
    </row>
    <row r="10" spans="1:4">
      <c r="A10" s="7" t="s">
        <v>40</v>
      </c>
      <c r="B10" s="13">
        <f>B8/B7</f>
        <v>0.04</v>
      </c>
    </row>
    <row r="12" spans="1:4">
      <c r="A12" s="14" t="s">
        <v>41</v>
      </c>
      <c r="B12" s="14"/>
      <c r="C12" s="14"/>
      <c r="D12" s="14"/>
    </row>
    <row r="13" spans="1:4">
      <c r="A13" s="15" t="s">
        <v>42</v>
      </c>
      <c r="B13" s="11">
        <f>PV(B10,B9,-B6,0,0)</f>
        <v>403964.6924970241</v>
      </c>
    </row>
    <row r="14" spans="1:4">
      <c r="A14" s="15" t="s">
        <v>43</v>
      </c>
      <c r="B14" s="11">
        <f>PV(B10,B9,0,-B4,0)</f>
        <v>1461380.4100039678</v>
      </c>
    </row>
    <row r="15" spans="1:4">
      <c r="A15" s="7" t="s">
        <v>44</v>
      </c>
      <c r="B15" s="16">
        <f>B13+B14</f>
        <v>1865345.102500992</v>
      </c>
    </row>
    <row r="16" spans="1:4">
      <c r="A16" s="7" t="s">
        <v>35</v>
      </c>
      <c r="B16" s="8">
        <v>25000</v>
      </c>
      <c r="C16" s="9" t="s">
        <v>36</v>
      </c>
      <c r="D16" s="9" t="s">
        <v>37</v>
      </c>
    </row>
    <row r="17" spans="1:2">
      <c r="A17" s="7" t="s">
        <v>45</v>
      </c>
      <c r="B17" s="16">
        <f>B15-B16</f>
        <v>1840345.102500992</v>
      </c>
    </row>
    <row r="18" spans="1:2">
      <c r="A18" s="7" t="s">
        <v>46</v>
      </c>
      <c r="B18" s="11">
        <f>MAX(B4-B15,0)</f>
        <v>134654.897499008</v>
      </c>
    </row>
    <row r="19" spans="1:2">
      <c r="A19" s="7" t="s">
        <v>47</v>
      </c>
      <c r="B19" s="13">
        <f>RATE(B9,-B6,B17,-B4,0,B10)</f>
        <v>0.041952370224736635</v>
      </c>
    </row>
    <row r="22" spans="1:2">
      <c r="A22" s="17" t="s">
        <v>48</v>
      </c>
      <c r="B22" s="17" t="str">
        <f>IF(ABS(B13+B14-B15)&lt;0.01,"PASS","CHECK")</f>
        <v>PASS</v>
      </c>
    </row>
    <row r="23" spans="1:2">
      <c r="A23" s="17" t="s">
        <v>49</v>
      </c>
      <c r="B23" s="17" t="str">
        <f>IF(ABS(B15-B16-B17)&lt;0.01,"PASS","CHECK")</f>
        <v>PASS</v>
      </c>
    </row>
    <row r="24" spans="1:2">
      <c r="A24" s="17" t="s">
        <v>50</v>
      </c>
      <c r="B24" s="17" t="str">
        <f>IF(B19&gt;B10,"PASS","CHECK")</f>
        <v>PASS</v>
      </c>
    </row>
  </sheetData>
  <mergeCells count="3">
    <mergeCell ref="A1:D1"/>
    <mergeCell ref="A2:D2"/>
    <mergeCell ref="A12:D12"/>
  </mergeCells>
  <conditionalFormatting sqref="B22:B24">
    <cfRule type="containsText" dxfId="0" priority="1" operator="containsText" text="PASS">
      <formula>NOT(ISERROR(SEARCH("PASS",B22)))</formula>
    </cfRule>
    <cfRule type="containsText" dxfId="1" priority="2" operator="containsText" text="CHECK">
      <formula>NOT(ISERROR(SEARCH("CHECK",B22)))</formula>
    </cfRule>
  </conditionalFormatting>
  <dataValidations count="3">
    <dataValidation type="decimal" operator="greaterThanOrEqual" allowBlank="1" showInputMessage="1" showErrorMessage="1" sqref="B4:B5">
      <formula1>0</formula1>
    </dataValidation>
    <dataValidation type="whole" operator="greaterThan" allowBlank="1" showInputMessage="1" showErrorMessage="1" sqref="B7:B9">
      <formula1>0</formula1>
    </dataValidation>
    <dataValidation type="decimal" operator="greaterThanOrEqual" allowBlank="1" showInputMessage="1" showErrorMessage="1" sqref="B16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F20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10.7109375" customWidth="1"/>
    <col min="2" max="6" width="22.7109375" customWidth="1"/>
  </cols>
  <sheetData>
    <row r="1" spans="1:6" ht="30" customHeight="1">
      <c r="A1" s="1" t="s">
        <v>51</v>
      </c>
      <c r="B1" s="1"/>
      <c r="C1" s="1"/>
      <c r="D1" s="1"/>
      <c r="E1" s="1"/>
      <c r="F1" s="1"/>
    </row>
    <row r="2" spans="1:6" ht="21" customHeight="1">
      <c r="A2" s="2" t="s">
        <v>52</v>
      </c>
      <c r="B2" s="2"/>
      <c r="C2" s="2"/>
      <c r="D2" s="2"/>
      <c r="E2" s="2"/>
      <c r="F2" s="2"/>
    </row>
    <row r="3" spans="1:6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>
      <c r="A4" s="15">
        <v>1</v>
      </c>
      <c r="B4" s="11">
        <f>'Pricing &amp; opening'!B17</f>
        <v>1840345.102500992</v>
      </c>
      <c r="C4" s="11">
        <f>'Pricing &amp; opening'!B6</f>
        <v>60000.0</v>
      </c>
      <c r="D4" s="11">
        <f>B4*'Pricing &amp; opening'!B19</f>
        <v>77206.8390814025</v>
      </c>
      <c r="E4" s="11">
        <f>D4-C4</f>
        <v>17206.839081402504</v>
      </c>
      <c r="F4" s="11">
        <f>B4+E4</f>
        <v>1857551.9415823943</v>
      </c>
    </row>
    <row r="5" spans="1:6">
      <c r="A5" s="15">
        <v>2</v>
      </c>
      <c r="B5" s="11">
        <f>F4</f>
        <v>1857551.9415823943</v>
      </c>
      <c r="C5" s="11">
        <f>'Pricing &amp; opening'!B6</f>
        <v>60000.0</v>
      </c>
      <c r="D5" s="11">
        <f>B5*'Pricing &amp; opening'!B19</f>
        <v>77928.70676494297</v>
      </c>
      <c r="E5" s="11">
        <f>D5-C5</f>
        <v>17928.706764942966</v>
      </c>
      <c r="F5" s="11">
        <f>B5+E5</f>
        <v>1875480.6483473373</v>
      </c>
    </row>
    <row r="6" spans="1:6">
      <c r="A6" s="15">
        <v>3</v>
      </c>
      <c r="B6" s="11">
        <f>F5</f>
        <v>1875480.6483473373</v>
      </c>
      <c r="C6" s="11">
        <f>'Pricing &amp; opening'!B6</f>
        <v>60000.0</v>
      </c>
      <c r="D6" s="11">
        <f>B6*'Pricing &amp; opening'!B19</f>
        <v>78680.85850879659</v>
      </c>
      <c r="E6" s="11">
        <f>D6-C6</f>
        <v>18680.85850879659</v>
      </c>
      <c r="F6" s="11">
        <f>B6+E6</f>
        <v>1894161.506856134</v>
      </c>
    </row>
    <row r="7" spans="1:6">
      <c r="A7" s="15">
        <v>4</v>
      </c>
      <c r="B7" s="11">
        <f>F6</f>
        <v>1894161.506856134</v>
      </c>
      <c r="C7" s="11">
        <f>'Pricing &amp; opening'!B6</f>
        <v>60000.0</v>
      </c>
      <c r="D7" s="11">
        <f>B7*'Pricing &amp; opening'!B19</f>
        <v>79464.56480107355</v>
      </c>
      <c r="E7" s="11">
        <f>D7-C7</f>
        <v>19464.564801073546</v>
      </c>
      <c r="F7" s="11">
        <f>B7+E7</f>
        <v>1913626.0716572076</v>
      </c>
    </row>
    <row r="8" spans="1:6">
      <c r="A8" s="15">
        <v>5</v>
      </c>
      <c r="B8" s="11">
        <f>F7</f>
        <v>1913626.0716572076</v>
      </c>
      <c r="C8" s="11">
        <f>'Pricing &amp; opening'!B6</f>
        <v>60000.0</v>
      </c>
      <c r="D8" s="11">
        <f>B8*'Pricing &amp; opening'!B19</f>
        <v>80281.14942987157</v>
      </c>
      <c r="E8" s="11">
        <f>D8-C8</f>
        <v>20281.14942987157</v>
      </c>
      <c r="F8" s="11">
        <f>B8+E8</f>
        <v>1933907.221087079</v>
      </c>
    </row>
    <row r="9" spans="1:6">
      <c r="A9" s="15">
        <v>6</v>
      </c>
      <c r="B9" s="11">
        <f>F8</f>
        <v>1933907.221087079</v>
      </c>
      <c r="C9" s="11">
        <f>'Pricing &amp; opening'!B6</f>
        <v>60000.0</v>
      </c>
      <c r="D9" s="11">
        <f>B9*'Pricing &amp; opening'!B19</f>
        <v>81131.99171933674</v>
      </c>
      <c r="E9" s="11">
        <f>D9-C9</f>
        <v>21131.991719336744</v>
      </c>
      <c r="F9" s="11">
        <f>B9+E9</f>
        <v>1955039.2128064157</v>
      </c>
    </row>
    <row r="10" spans="1:6">
      <c r="A10" s="15">
        <v>7</v>
      </c>
      <c r="B10" s="11">
        <f>F9</f>
        <v>1955039.2128064157</v>
      </c>
      <c r="C10" s="11">
        <f>'Pricing &amp; opening'!B6</f>
        <v>60000.0</v>
      </c>
      <c r="D10" s="11">
        <f>B10*'Pricing &amp; opening'!B19</f>
        <v>82018.52885953242</v>
      </c>
      <c r="E10" s="11">
        <f>D10-C10</f>
        <v>22018.528859532424</v>
      </c>
      <c r="F10" s="11">
        <f>B10+E10</f>
        <v>1977057.7416659482</v>
      </c>
    </row>
    <row r="11" spans="1:6">
      <c r="A11" s="15">
        <v>8</v>
      </c>
      <c r="B11" s="11">
        <f>F10</f>
        <v>1977057.7416659482</v>
      </c>
      <c r="C11" s="11">
        <f>'Pricing &amp; opening'!B6</f>
        <v>60000.0</v>
      </c>
      <c r="D11" s="11">
        <f>B11*'Pricing &amp; opening'!B19</f>
        <v>82942.25833405158</v>
      </c>
      <c r="E11" s="11">
        <f>D11-C11</f>
        <v>22942.258334051585</v>
      </c>
      <c r="F11" s="11">
        <f>B11+E11</f>
        <v>1999999.9999999998</v>
      </c>
    </row>
    <row r="13" spans="1:6">
      <c r="A13" s="7" t="s">
        <v>59</v>
      </c>
      <c r="C13" s="16">
        <f>SUM(C4:C11)</f>
        <v>480000.0</v>
      </c>
      <c r="D13" s="16">
        <f>SUM(D4:D11)</f>
        <v>639654.8974990081</v>
      </c>
      <c r="E13" s="16">
        <f>SUM(E4:E11)</f>
        <v>159654.8974990081</v>
      </c>
    </row>
    <row r="15" spans="1:6">
      <c r="A15" s="17" t="s">
        <v>60</v>
      </c>
      <c r="F15" s="17" t="str">
        <f>IF(ABS(F11-'Pricing &amp; opening'!B4)&lt;0.01,"PASS","CHECK")</f>
        <v>PASS</v>
      </c>
    </row>
    <row r="16" spans="1:6">
      <c r="A16" s="17" t="s">
        <v>61</v>
      </c>
      <c r="F16" s="17" t="str">
        <f>IF(ABS(D13-C13-E13)&lt;0.01,"PASS","CHECK")</f>
        <v>PASS</v>
      </c>
    </row>
    <row r="17" spans="1:6">
      <c r="A17" s="17" t="s">
        <v>62</v>
      </c>
      <c r="F17" s="17" t="str">
        <f>IF(F11=B11+E11,"PASS","CHECK")</f>
        <v>PASS</v>
      </c>
    </row>
    <row r="19" spans="1:6">
      <c r="A19" s="4" t="s">
        <v>63</v>
      </c>
      <c r="B19" s="4"/>
      <c r="C19" s="4"/>
      <c r="D19" s="4"/>
      <c r="E19" s="4"/>
      <c r="F19" s="4"/>
    </row>
    <row r="20" spans="1:6">
      <c r="A20" s="4"/>
      <c r="B20" s="4"/>
      <c r="C20" s="4"/>
      <c r="D20" s="4"/>
      <c r="E20" s="4"/>
      <c r="F20" s="4"/>
    </row>
  </sheetData>
  <mergeCells count="3">
    <mergeCell ref="A1:F1"/>
    <mergeCell ref="A2:F2"/>
    <mergeCell ref="A19:F20"/>
  </mergeCells>
  <conditionalFormatting sqref="F15:F17">
    <cfRule type="containsText" dxfId="0" priority="1" operator="containsText" text="PASS">
      <formula>NOT(ISERROR(SEARCH("PASS",F15)))</formula>
    </cfRule>
    <cfRule type="containsText" dxfId="1" priority="2" operator="containsText" text="CHECK">
      <formula>NOT(ISERROR(SEARCH("CHECK",F15)))</formula>
    </cfRule>
  </conditionalFormatting>
  <printOptions horizontalCentered="1"/>
  <pageMargins left="0.35" right="0.35" top="0.55" bottom="0.55" header="0.3" footer="0.3"/>
  <pageSetup paperSize="9" orientation="landscape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Pricing &amp; opening</vt:lpstr>
      <vt:lpstr>Effective interest</vt:lpstr>
      <vt:lpstr>'Effective interest'!Print_Area</vt:lpstr>
      <vt:lpstr>'Pricing &amp; opening'!Print_Area</vt:lpstr>
      <vt:lpstr>'Read me'!Print_Area</vt:lpstr>
      <vt:lpstr>'Effective interest'!Print_Titles</vt:lpstr>
      <vt:lpstr>'Pricing &amp; opening'!Print_Titles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 issuer bond pricing and effective-interest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